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田中祐人\Downloads\"/>
    </mc:Choice>
  </mc:AlternateContent>
  <xr:revisionPtr revIDLastSave="0" documentId="13_ncr:1_{79ECB124-2DA1-48E2-A555-D3E1284637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情報" sheetId="1" r:id="rId1"/>
    <sheet name="収支計画書" sheetId="3" r:id="rId2"/>
    <sheet name="★重要なお知らせ★" sheetId="4" r:id="rId3"/>
  </sheets>
  <definedNames>
    <definedName name="_xlnm.Print_Area" localSheetId="0">入力情報!$A:$E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" l="1"/>
  <c r="B29" i="1"/>
  <c r="B34" i="1"/>
  <c r="B33" i="1"/>
  <c r="L10" i="3"/>
  <c r="B12" i="1"/>
  <c r="M18" i="3"/>
  <c r="M19" i="3"/>
  <c r="M20" i="3"/>
  <c r="M21" i="3"/>
  <c r="M22" i="3"/>
  <c r="L22" i="3"/>
  <c r="K22" i="3"/>
  <c r="J22" i="3"/>
  <c r="I22" i="3"/>
  <c r="G22" i="3"/>
  <c r="F22" i="3"/>
  <c r="D22" i="3"/>
  <c r="C22" i="3"/>
  <c r="H22" i="3" s="1"/>
  <c r="L21" i="3"/>
  <c r="K21" i="3"/>
  <c r="J21" i="3"/>
  <c r="I21" i="3"/>
  <c r="G21" i="3"/>
  <c r="F21" i="3"/>
  <c r="D21" i="3"/>
  <c r="C21" i="3"/>
  <c r="E21" i="3" s="1"/>
  <c r="L20" i="3"/>
  <c r="K20" i="3"/>
  <c r="J20" i="3"/>
  <c r="I20" i="3"/>
  <c r="G20" i="3"/>
  <c r="F20" i="3"/>
  <c r="D20" i="3"/>
  <c r="C20" i="3"/>
  <c r="H20" i="3" s="1"/>
  <c r="L19" i="3"/>
  <c r="K19" i="3"/>
  <c r="J19" i="3"/>
  <c r="I19" i="3"/>
  <c r="G19" i="3"/>
  <c r="F19" i="3"/>
  <c r="D19" i="3"/>
  <c r="C19" i="3"/>
  <c r="H19" i="3" s="1"/>
  <c r="L18" i="3"/>
  <c r="K18" i="3"/>
  <c r="J18" i="3"/>
  <c r="I18" i="3"/>
  <c r="G18" i="3"/>
  <c r="F18" i="3"/>
  <c r="D18" i="3"/>
  <c r="C18" i="3"/>
  <c r="H18" i="3" s="1"/>
  <c r="L17" i="3"/>
  <c r="K17" i="3"/>
  <c r="J17" i="3"/>
  <c r="I17" i="3"/>
  <c r="G17" i="3"/>
  <c r="F17" i="3"/>
  <c r="D17" i="3"/>
  <c r="C17" i="3"/>
  <c r="E17" i="3" s="1"/>
  <c r="L16" i="3"/>
  <c r="K16" i="3"/>
  <c r="J16" i="3"/>
  <c r="I16" i="3"/>
  <c r="G16" i="3"/>
  <c r="F16" i="3"/>
  <c r="D16" i="3"/>
  <c r="C16" i="3"/>
  <c r="E16" i="3" s="1"/>
  <c r="L15" i="3"/>
  <c r="K15" i="3"/>
  <c r="J15" i="3"/>
  <c r="I15" i="3"/>
  <c r="G15" i="3"/>
  <c r="F15" i="3"/>
  <c r="D15" i="3"/>
  <c r="C15" i="3"/>
  <c r="H15" i="3" s="1"/>
  <c r="L14" i="3"/>
  <c r="K14" i="3"/>
  <c r="J14" i="3"/>
  <c r="I14" i="3"/>
  <c r="G14" i="3"/>
  <c r="F14" i="3"/>
  <c r="D14" i="3"/>
  <c r="C14" i="3"/>
  <c r="H14" i="3" s="1"/>
  <c r="L13" i="3"/>
  <c r="K13" i="3"/>
  <c r="J13" i="3"/>
  <c r="I13" i="3"/>
  <c r="G13" i="3"/>
  <c r="F13" i="3"/>
  <c r="D13" i="3"/>
  <c r="C13" i="3"/>
  <c r="H13" i="3" s="1"/>
  <c r="L12" i="3"/>
  <c r="K12" i="3"/>
  <c r="J12" i="3"/>
  <c r="I12" i="3"/>
  <c r="G12" i="3"/>
  <c r="F12" i="3"/>
  <c r="D12" i="3"/>
  <c r="C12" i="3"/>
  <c r="H12" i="3" s="1"/>
  <c r="L11" i="3"/>
  <c r="K11" i="3"/>
  <c r="J11" i="3"/>
  <c r="I11" i="3"/>
  <c r="G11" i="3"/>
  <c r="F11" i="3"/>
  <c r="D11" i="3"/>
  <c r="C11" i="3"/>
  <c r="H11" i="3" s="1"/>
  <c r="K10" i="3"/>
  <c r="J10" i="3"/>
  <c r="I10" i="3"/>
  <c r="G10" i="3"/>
  <c r="F10" i="3"/>
  <c r="D10" i="3"/>
  <c r="C10" i="3"/>
  <c r="H10" i="3" s="1"/>
  <c r="L9" i="3"/>
  <c r="K9" i="3"/>
  <c r="J9" i="3"/>
  <c r="I9" i="3"/>
  <c r="G9" i="3"/>
  <c r="F9" i="3"/>
  <c r="D9" i="3"/>
  <c r="C9" i="3"/>
  <c r="H9" i="3" s="1"/>
  <c r="L8" i="3"/>
  <c r="K8" i="3"/>
  <c r="J8" i="3"/>
  <c r="I8" i="3"/>
  <c r="G8" i="3"/>
  <c r="F8" i="3"/>
  <c r="D8" i="3"/>
  <c r="C8" i="3"/>
  <c r="H8" i="3" s="1"/>
  <c r="L7" i="3"/>
  <c r="K7" i="3"/>
  <c r="J7" i="3"/>
  <c r="I7" i="3"/>
  <c r="H7" i="3"/>
  <c r="G7" i="3"/>
  <c r="F7" i="3"/>
  <c r="E7" i="3"/>
  <c r="D7" i="3"/>
  <c r="C7" i="3"/>
  <c r="L6" i="3"/>
  <c r="K6" i="3"/>
  <c r="J6" i="3"/>
  <c r="I6" i="3"/>
  <c r="G6" i="3"/>
  <c r="F6" i="3"/>
  <c r="D6" i="3"/>
  <c r="C6" i="3"/>
  <c r="E6" i="3" s="1"/>
  <c r="L5" i="3"/>
  <c r="K5" i="3"/>
  <c r="J5" i="3"/>
  <c r="I5" i="3"/>
  <c r="G5" i="3"/>
  <c r="F5" i="3"/>
  <c r="D5" i="3"/>
  <c r="C5" i="3"/>
  <c r="H5" i="3" s="1"/>
  <c r="L4" i="3"/>
  <c r="K4" i="3"/>
  <c r="J4" i="3"/>
  <c r="I4" i="3"/>
  <c r="G4" i="3"/>
  <c r="F4" i="3"/>
  <c r="D4" i="3"/>
  <c r="C4" i="3"/>
  <c r="H4" i="3" s="1"/>
  <c r="L3" i="3"/>
  <c r="K3" i="3"/>
  <c r="J3" i="3"/>
  <c r="I3" i="3"/>
  <c r="G3" i="3"/>
  <c r="F3" i="3"/>
  <c r="D3" i="3"/>
  <c r="C3" i="3"/>
  <c r="E3" i="3" s="1"/>
  <c r="H21" i="3" l="1"/>
  <c r="N21" i="3" s="1"/>
  <c r="O21" i="3" s="1"/>
  <c r="H16" i="3"/>
  <c r="H6" i="3"/>
  <c r="E14" i="3"/>
  <c r="E19" i="3"/>
  <c r="E12" i="3"/>
  <c r="E5" i="3"/>
  <c r="E11" i="3"/>
  <c r="E20" i="3"/>
  <c r="N20" i="3"/>
  <c r="O20" i="3" s="1"/>
  <c r="P20" i="3" s="1"/>
  <c r="N22" i="3"/>
  <c r="E13" i="3"/>
  <c r="E8" i="3"/>
  <c r="H3" i="3"/>
  <c r="H17" i="3"/>
  <c r="E18" i="3"/>
  <c r="E22" i="3"/>
  <c r="E4" i="3"/>
  <c r="E9" i="3"/>
  <c r="E10" i="3"/>
  <c r="E15" i="3"/>
  <c r="B32" i="1"/>
  <c r="B31" i="1"/>
  <c r="B8" i="1"/>
  <c r="M8" i="3" l="1"/>
  <c r="N8" i="3" s="1"/>
  <c r="O8" i="3" s="1"/>
  <c r="Q8" i="3" s="1"/>
  <c r="M9" i="3"/>
  <c r="N9" i="3" s="1"/>
  <c r="O9" i="3" s="1"/>
  <c r="M3" i="3"/>
  <c r="M10" i="3"/>
  <c r="N10" i="3" s="1"/>
  <c r="O10" i="3" s="1"/>
  <c r="M11" i="3"/>
  <c r="N11" i="3" s="1"/>
  <c r="O11" i="3" s="1"/>
  <c r="Q11" i="3" s="1"/>
  <c r="M12" i="3"/>
  <c r="N12" i="3" s="1"/>
  <c r="O12" i="3" s="1"/>
  <c r="M13" i="3"/>
  <c r="N13" i="3" s="1"/>
  <c r="O13" i="3" s="1"/>
  <c r="Q13" i="3" s="1"/>
  <c r="M14" i="3"/>
  <c r="N14" i="3" s="1"/>
  <c r="O14" i="3" s="1"/>
  <c r="Q14" i="3" s="1"/>
  <c r="M15" i="3"/>
  <c r="N15" i="3" s="1"/>
  <c r="O15" i="3" s="1"/>
  <c r="M16" i="3"/>
  <c r="N16" i="3" s="1"/>
  <c r="O16" i="3" s="1"/>
  <c r="M17" i="3"/>
  <c r="N17" i="3" s="1"/>
  <c r="O17" i="3" s="1"/>
  <c r="M4" i="3"/>
  <c r="N4" i="3" s="1"/>
  <c r="O4" i="3" s="1"/>
  <c r="P4" i="3" s="1"/>
  <c r="M5" i="3"/>
  <c r="N5" i="3" s="1"/>
  <c r="O5" i="3" s="1"/>
  <c r="Q5" i="3" s="1"/>
  <c r="M6" i="3"/>
  <c r="N6" i="3" s="1"/>
  <c r="O6" i="3" s="1"/>
  <c r="M7" i="3"/>
  <c r="N7" i="3" s="1"/>
  <c r="O7" i="3" s="1"/>
  <c r="Q7" i="3" s="1"/>
  <c r="N19" i="3"/>
  <c r="O19" i="3" s="1"/>
  <c r="Q19" i="3" s="1"/>
  <c r="N18" i="3"/>
  <c r="P18" i="3" s="1"/>
  <c r="Q20" i="3"/>
  <c r="R20" i="3" s="1"/>
  <c r="N3" i="3"/>
  <c r="O3" i="3" s="1"/>
  <c r="P3" i="3" s="1"/>
  <c r="P21" i="3"/>
  <c r="Q21" i="3"/>
  <c r="O22" i="3"/>
  <c r="P17" i="3" l="1"/>
  <c r="Q17" i="3"/>
  <c r="R17" i="3" s="1"/>
  <c r="P16" i="3"/>
  <c r="Q16" i="3"/>
  <c r="P10" i="3"/>
  <c r="Q10" i="3"/>
  <c r="Q12" i="3"/>
  <c r="P12" i="3"/>
  <c r="R12" i="3" s="1"/>
  <c r="P14" i="3"/>
  <c r="R14" i="3" s="1"/>
  <c r="P19" i="3"/>
  <c r="R19" i="3" s="1"/>
  <c r="Q9" i="3"/>
  <c r="P9" i="3"/>
  <c r="R9" i="3" s="1"/>
  <c r="Q6" i="3"/>
  <c r="P6" i="3"/>
  <c r="R6" i="3" s="1"/>
  <c r="P11" i="3"/>
  <c r="R11" i="3" s="1"/>
  <c r="Q3" i="3"/>
  <c r="R3" i="3" s="1"/>
  <c r="P7" i="3"/>
  <c r="R7" i="3" s="1"/>
  <c r="Q18" i="3"/>
  <c r="R18" i="3" s="1"/>
  <c r="P5" i="3"/>
  <c r="R5" i="3" s="1"/>
  <c r="P8" i="3"/>
  <c r="R8" i="3" s="1"/>
  <c r="P13" i="3"/>
  <c r="R13" i="3" s="1"/>
  <c r="Q4" i="3"/>
  <c r="R4" i="3" s="1"/>
  <c r="Q15" i="3"/>
  <c r="P15" i="3"/>
  <c r="R15" i="3" s="1"/>
  <c r="R21" i="3"/>
  <c r="Q22" i="3"/>
  <c r="P22" i="3"/>
  <c r="R16" i="3" l="1"/>
  <c r="R22" i="3"/>
  <c r="R10" i="3"/>
  <c r="S10" i="3" s="1"/>
  <c r="S3" i="3"/>
  <c r="S6" i="3"/>
  <c r="S5" i="3"/>
  <c r="S7" i="3"/>
  <c r="S9" i="3"/>
  <c r="S4" i="3"/>
  <c r="S8" i="3"/>
  <c r="S18" i="3" l="1"/>
  <c r="S17" i="3"/>
  <c r="S21" i="3"/>
  <c r="S22" i="3"/>
  <c r="S15" i="3"/>
  <c r="S14" i="3"/>
  <c r="S11" i="3"/>
  <c r="S13" i="3"/>
  <c r="S20" i="3"/>
  <c r="S12" i="3"/>
  <c r="S16" i="3"/>
  <c r="S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宮里剛</author>
  </authors>
  <commentList>
    <comment ref="H2" authorId="0" shapeId="0" xr:uid="{28FA20C6-8079-4BAE-9275-B807F47D08E7}">
      <text>
        <r>
          <rPr>
            <b/>
            <sz val="9"/>
            <color indexed="81"/>
            <rFont val="MS P ゴシック"/>
            <family val="3"/>
            <charset val="128"/>
          </rPr>
          <t>家賃の10%</t>
        </r>
      </text>
    </comment>
    <comment ref="I2" authorId="0" shapeId="0" xr:uid="{9577C1B8-F8CB-40A6-AFFD-BA8421EDB535}">
      <text>
        <r>
          <rPr>
            <b/>
            <sz val="9"/>
            <color indexed="81"/>
            <rFont val="MS P ゴシック"/>
            <family val="3"/>
            <charset val="128"/>
          </rPr>
          <t>6年目以降に加算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<sst xmlns="http://schemas.openxmlformats.org/spreadsheetml/2006/main" count="109" uniqueCount="88">
  <si>
    <t>【物件情報・投資条件】</t>
  </si>
  <si>
    <t>項目</t>
  </si>
  <si>
    <t>値</t>
  </si>
  <si>
    <t>備考</t>
  </si>
  <si>
    <t>物件所在地</t>
  </si>
  <si>
    <t>東京都○○区</t>
  </si>
  <si>
    <t>駅徒歩5分圏内など</t>
  </si>
  <si>
    <t>間取り・戸数</t>
  </si>
  <si>
    <t>築年数</t>
  </si>
  <si>
    <t>年</t>
  </si>
  <si>
    <t>物件購入価格</t>
  </si>
  <si>
    <t>円</t>
  </si>
  <si>
    <t>自己資金</t>
  </si>
  <si>
    <t>借入額</t>
  </si>
  <si>
    <t>自動計算</t>
  </si>
  <si>
    <t>金利</t>
  </si>
  <si>
    <t>返済期間</t>
  </si>
  <si>
    <t>返済方法</t>
  </si>
  <si>
    <t>元利均等</t>
  </si>
  <si>
    <t>月額返済額</t>
  </si>
  <si>
    <t>【想定収入】</t>
  </si>
  <si>
    <t>家賃（月額/戸）</t>
  </si>
  <si>
    <t>戸数</t>
  </si>
  <si>
    <t>空室率</t>
  </si>
  <si>
    <t>家賃下落率（年率）</t>
  </si>
  <si>
    <t>毎年1％ずつ下落想定</t>
  </si>
  <si>
    <t>駐車場（月額/台）</t>
  </si>
  <si>
    <t>礼金（年額）</t>
  </si>
  <si>
    <t>契約更新料（年額）</t>
  </si>
  <si>
    <t>【想定支出】</t>
  </si>
  <si>
    <t>月額</t>
  </si>
  <si>
    <t>建物管理費</t>
  </si>
  <si>
    <t>賃貸管理費</t>
  </si>
  <si>
    <t>修繕積立金</t>
  </si>
  <si>
    <t>家賃の10%想定/年→月額換算</t>
  </si>
  <si>
    <t>臨時修繕費</t>
  </si>
  <si>
    <t>火災保険料</t>
  </si>
  <si>
    <t>固都税</t>
  </si>
  <si>
    <t>共益費</t>
  </si>
  <si>
    <t>ローン返済金</t>
  </si>
  <si>
    <t>月額返済額と連動</t>
  </si>
  <si>
    <t>年度</t>
  </si>
  <si>
    <t>家賃収入（月額）</t>
  </si>
  <si>
    <t>駐車料金（月額）</t>
  </si>
  <si>
    <t>収入合計（月額）</t>
  </si>
  <si>
    <t>ローン返済額</t>
  </si>
  <si>
    <t>支出合計（月額）</t>
  </si>
  <si>
    <t>所得税・住民税</t>
  </si>
  <si>
    <t>手取収入（年）</t>
  </si>
  <si>
    <t>累計手取収入</t>
  </si>
  <si>
    <t>2年目</t>
  </si>
  <si>
    <t>3年目</t>
  </si>
  <si>
    <t>4年目</t>
  </si>
  <si>
    <t>5年目</t>
  </si>
  <si>
    <t>6年目</t>
  </si>
  <si>
    <t>7年目</t>
  </si>
  <si>
    <t>8年目</t>
  </si>
  <si>
    <t>9年目</t>
  </si>
  <si>
    <t>10年目</t>
  </si>
  <si>
    <t>参考値</t>
    <rPh sb="0" eb="2">
      <t>サンコウ</t>
    </rPh>
    <rPh sb="2" eb="3">
      <t>アタイ</t>
    </rPh>
    <phoneticPr fontId="4"/>
  </si>
  <si>
    <t>収支合計（月額）</t>
    <rPh sb="0" eb="4">
      <t>シュウシゴウケイ</t>
    </rPh>
    <rPh sb="5" eb="7">
      <t>ゲツガク</t>
    </rPh>
    <phoneticPr fontId="4"/>
  </si>
  <si>
    <t>収支合計（年額）</t>
    <rPh sb="0" eb="4">
      <t>シュウシゴウケイ</t>
    </rPh>
    <rPh sb="5" eb="7">
      <t>ネンガク</t>
    </rPh>
    <phoneticPr fontId="4"/>
  </si>
  <si>
    <t>11年目</t>
  </si>
  <si>
    <t>12年目</t>
  </si>
  <si>
    <t>13年目</t>
  </si>
  <si>
    <t>14年目</t>
  </si>
  <si>
    <t>15年目</t>
  </si>
  <si>
    <t>16年目</t>
  </si>
  <si>
    <t>17年目</t>
  </si>
  <si>
    <t>18年目</t>
  </si>
  <si>
    <t>19年目</t>
  </si>
  <si>
    <t>20年目</t>
  </si>
  <si>
    <t>収入（月額）</t>
    <phoneticPr fontId="4"/>
  </si>
  <si>
    <t>支出（月額）</t>
    <phoneticPr fontId="4"/>
  </si>
  <si>
    <t>収支</t>
    <rPh sb="0" eb="2">
      <t>シュウシ</t>
    </rPh>
    <phoneticPr fontId="4"/>
  </si>
  <si>
    <t>手取り収入</t>
    <rPh sb="0" eb="2">
      <t>テド</t>
    </rPh>
    <rPh sb="3" eb="5">
      <t>シュウニュウ</t>
    </rPh>
    <phoneticPr fontId="4"/>
  </si>
  <si>
    <t>税金</t>
    <rPh sb="0" eb="2">
      <t>ゼイキン</t>
    </rPh>
    <phoneticPr fontId="4"/>
  </si>
  <si>
    <t>1年目</t>
    <phoneticPr fontId="4"/>
  </si>
  <si>
    <r>
      <t>低コストで再生できるノウハウを保有しているため、比較的</t>
    </r>
    <r>
      <rPr>
        <sz val="18"/>
        <color rgb="FFFF0000"/>
        <rFont val="ＭＳ Ｐゴシック"/>
        <family val="3"/>
        <charset val="128"/>
        <scheme val="minor"/>
      </rPr>
      <t>「高利回り」の投資物件</t>
    </r>
    <r>
      <rPr>
        <sz val="18"/>
        <color theme="1"/>
        <rFont val="ＭＳ Ｐゴシック"/>
        <family val="2"/>
        <scheme val="minor"/>
      </rPr>
      <t>を投資家様へご紹介しています。</t>
    </r>
    <rPh sb="0" eb="1">
      <t>テイ</t>
    </rPh>
    <rPh sb="5" eb="7">
      <t>サイセイ</t>
    </rPh>
    <rPh sb="15" eb="17">
      <t>ホユウ</t>
    </rPh>
    <rPh sb="24" eb="27">
      <t>ヒカクテキ</t>
    </rPh>
    <rPh sb="28" eb="31">
      <t>コウリマワ</t>
    </rPh>
    <rPh sb="34" eb="38">
      <t>トウシブッケン</t>
    </rPh>
    <rPh sb="39" eb="43">
      <t>トウシイエサマ</t>
    </rPh>
    <rPh sb="45" eb="47">
      <t>ショウカイ</t>
    </rPh>
    <phoneticPr fontId="4"/>
  </si>
  <si>
    <t>1K × 8戸</t>
    <phoneticPr fontId="4"/>
  </si>
  <si>
    <t>年利 3.1%の場合→0.031</t>
    <rPh sb="8" eb="10">
      <t>バアイ</t>
    </rPh>
    <phoneticPr fontId="4"/>
  </si>
  <si>
    <t>PMT関数による自動算出</t>
    <phoneticPr fontId="4"/>
  </si>
  <si>
    <t>10%の場合→0.1</t>
    <rPh sb="4" eb="6">
      <t>バアイ</t>
    </rPh>
    <phoneticPr fontId="4"/>
  </si>
  <si>
    <t>駐車台数</t>
    <phoneticPr fontId="4"/>
  </si>
  <si>
    <t>5年目より約30％増加する想定</t>
    <rPh sb="5" eb="6">
      <t>ヤク</t>
    </rPh>
    <rPh sb="13" eb="15">
      <t>ソウテイ</t>
    </rPh>
    <phoneticPr fontId="4"/>
  </si>
  <si>
    <r>
      <t>弊社LINEに登録いただくと、</t>
    </r>
    <r>
      <rPr>
        <sz val="18"/>
        <color rgb="FFFF0000"/>
        <rFont val="ＭＳ Ｐゴシック"/>
        <family val="3"/>
        <charset val="128"/>
        <scheme val="minor"/>
      </rPr>
      <t>世には出ていない「未公開物件」の情報</t>
    </r>
    <r>
      <rPr>
        <sz val="18"/>
        <color theme="1"/>
        <rFont val="ＭＳ Ｐゴシック"/>
        <family val="2"/>
        <scheme val="minor"/>
      </rPr>
      <t>を受け取れます。</t>
    </r>
    <rPh sb="0" eb="2">
      <t>ヘイシャ</t>
    </rPh>
    <rPh sb="7" eb="9">
      <t>トウロク</t>
    </rPh>
    <rPh sb="15" eb="16">
      <t>ヨ</t>
    </rPh>
    <rPh sb="18" eb="19">
      <t>デ</t>
    </rPh>
    <rPh sb="24" eb="29">
      <t>ミコウカイブッケン</t>
    </rPh>
    <rPh sb="31" eb="33">
      <t>ジョウホウ</t>
    </rPh>
    <rPh sb="34" eb="35">
      <t>ウ</t>
    </rPh>
    <rPh sb="36" eb="37">
      <t>ト</t>
    </rPh>
    <phoneticPr fontId="4"/>
  </si>
  <si>
    <t>弊社アルバリンクは、「空き家、築古、特殊物件等」を専門に扱う不動産業者です。</t>
    <rPh sb="0" eb="2">
      <t>ヘイシャ</t>
    </rPh>
    <rPh sb="11" eb="12">
      <t>ア</t>
    </rPh>
    <rPh sb="13" eb="14">
      <t>ヤ</t>
    </rPh>
    <rPh sb="15" eb="17">
      <t>チクフル</t>
    </rPh>
    <rPh sb="18" eb="20">
      <t>トクシュ</t>
    </rPh>
    <rPh sb="20" eb="22">
      <t>ブッケン</t>
    </rPh>
    <rPh sb="22" eb="23">
      <t>トウ</t>
    </rPh>
    <rPh sb="25" eb="27">
      <t>センモン</t>
    </rPh>
    <rPh sb="28" eb="29">
      <t>アツカ</t>
    </rPh>
    <rPh sb="30" eb="33">
      <t>フドウサン</t>
    </rPh>
    <rPh sb="33" eb="35">
      <t>ギョウシャ</t>
    </rPh>
    <phoneticPr fontId="4"/>
  </si>
  <si>
    <t>&gt;&gt;LINE登録のメリットと使い方を確認する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</si>
</sst>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.00_ ;[Red]\-#,##0.00\ "/>
    <numFmt numFmtId="178" formatCode="#,##0.0_ ;[Red]\-#,##0.0\ "/>
    <numFmt numFmtId="179" formatCode="#,##0.000_ ;[Red]\-#,##0.000\ "/>
  </numFmts>
  <fonts count="1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 tint="0.499984740745262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u/>
      <sz val="18"/>
      <color theme="1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u/>
      <sz val="18"/>
      <color theme="10"/>
      <name val="ＭＳ Ｐゴシック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176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176" fontId="6" fillId="0" borderId="1" xfId="0" applyNumberFormat="1" applyFont="1" applyBorder="1"/>
    <xf numFmtId="0" fontId="9" fillId="0" borderId="0" xfId="0" applyFont="1"/>
    <xf numFmtId="0" fontId="6" fillId="6" borderId="0" xfId="4" applyFont="1" applyAlignment="1"/>
    <xf numFmtId="0" fontId="6" fillId="7" borderId="3" xfId="0" applyFont="1" applyFill="1" applyBorder="1"/>
    <xf numFmtId="176" fontId="6" fillId="7" borderId="3" xfId="0" applyNumberFormat="1" applyFont="1" applyFill="1" applyBorder="1"/>
    <xf numFmtId="179" fontId="6" fillId="7" borderId="3" xfId="0" applyNumberFormat="1" applyFont="1" applyFill="1" applyBorder="1"/>
    <xf numFmtId="176" fontId="6" fillId="7" borderId="2" xfId="0" applyNumberFormat="1" applyFont="1" applyFill="1" applyBorder="1"/>
    <xf numFmtId="178" fontId="6" fillId="7" borderId="3" xfId="0" applyNumberFormat="1" applyFont="1" applyFill="1" applyBorder="1"/>
    <xf numFmtId="177" fontId="6" fillId="7" borderId="3" xfId="0" applyNumberFormat="1" applyFont="1" applyFill="1" applyBorder="1"/>
    <xf numFmtId="176" fontId="6" fillId="5" borderId="3" xfId="0" applyNumberFormat="1" applyFont="1" applyFill="1" applyBorder="1"/>
    <xf numFmtId="0" fontId="3" fillId="11" borderId="1" xfId="8" applyBorder="1" applyAlignment="1">
      <alignment horizontal="center" vertical="center"/>
    </xf>
    <xf numFmtId="0" fontId="3" fillId="8" borderId="1" xfId="5" applyBorder="1" applyAlignment="1">
      <alignment horizontal="center" vertical="center"/>
    </xf>
    <xf numFmtId="0" fontId="1" fillId="12" borderId="0" xfId="9" applyAlignment="1">
      <alignment horizontal="center"/>
    </xf>
    <xf numFmtId="0" fontId="11" fillId="0" borderId="0" xfId="0" applyFont="1"/>
    <xf numFmtId="0" fontId="12" fillId="0" borderId="0" xfId="12" applyFont="1"/>
    <xf numFmtId="0" fontId="6" fillId="0" borderId="2" xfId="0" applyFont="1" applyBorder="1"/>
    <xf numFmtId="0" fontId="6" fillId="0" borderId="3" xfId="0" applyFont="1" applyBorder="1"/>
    <xf numFmtId="176" fontId="6" fillId="0" borderId="3" xfId="0" applyNumberFormat="1" applyFont="1" applyBorder="1"/>
    <xf numFmtId="0" fontId="1" fillId="13" borderId="2" xfId="10" applyBorder="1" applyAlignment="1">
      <alignment horizontal="center"/>
    </xf>
    <xf numFmtId="0" fontId="1" fillId="14" borderId="2" xfId="11" applyBorder="1" applyAlignment="1">
      <alignment horizontal="center"/>
    </xf>
    <xf numFmtId="0" fontId="1" fillId="10" borderId="2" xfId="7" applyBorder="1" applyAlignment="1">
      <alignment horizontal="center"/>
    </xf>
    <xf numFmtId="0" fontId="1" fillId="9" borderId="2" xfId="6" applyBorder="1" applyAlignment="1">
      <alignment horizontal="center"/>
    </xf>
    <xf numFmtId="0" fontId="10" fillId="0" borderId="0" xfId="12"/>
    <xf numFmtId="0" fontId="14" fillId="0" borderId="0" xfId="12" applyFont="1"/>
  </cellXfs>
  <cellStyles count="13">
    <cellStyle name="40% - アクセント 5" xfId="4" builtinId="47"/>
    <cellStyle name="60% - アクセント 2" xfId="6" builtinId="36"/>
    <cellStyle name="60% - アクセント 3" xfId="7" builtinId="40"/>
    <cellStyle name="60% - アクセント 4" xfId="9" builtinId="44"/>
    <cellStyle name="60% - アクセント 5" xfId="10" builtinId="48"/>
    <cellStyle name="60% - アクセント 6" xfId="11" builtinId="52"/>
    <cellStyle name="アクセント 2" xfId="5" builtinId="33"/>
    <cellStyle name="アクセント 3" xfId="1" builtinId="37"/>
    <cellStyle name="アクセント 4" xfId="8" builtinId="41"/>
    <cellStyle name="アクセント 5" xfId="2" builtinId="45"/>
    <cellStyle name="アクセント 6" xfId="3" builtinId="49"/>
    <cellStyle name="ハイパーリンク" xfId="12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2do-3.com/ref/lineat1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E28" sqref="E28"/>
    </sheetView>
  </sheetViews>
  <sheetFormatPr defaultRowHeight="14.25"/>
  <cols>
    <col min="1" max="1" width="21.625" style="1" bestFit="1" customWidth="1"/>
    <col min="2" max="2" width="24" style="1" customWidth="1"/>
    <col min="3" max="3" width="27.875" style="1" customWidth="1"/>
    <col min="4" max="16384" width="9" style="1"/>
  </cols>
  <sheetData>
    <row r="1" spans="1:4">
      <c r="A1" s="11" t="s">
        <v>0</v>
      </c>
    </row>
    <row r="2" spans="1:4">
      <c r="A2" s="12" t="s">
        <v>1</v>
      </c>
      <c r="B2" s="12" t="s">
        <v>2</v>
      </c>
      <c r="C2" s="12" t="s">
        <v>3</v>
      </c>
    </row>
    <row r="3" spans="1:4">
      <c r="A3" s="1" t="s">
        <v>4</v>
      </c>
      <c r="B3" s="25" t="s">
        <v>5</v>
      </c>
      <c r="C3" s="1" t="s">
        <v>6</v>
      </c>
    </row>
    <row r="4" spans="1:4">
      <c r="A4" s="1" t="s">
        <v>7</v>
      </c>
      <c r="B4" s="26" t="s">
        <v>79</v>
      </c>
    </row>
    <row r="5" spans="1:4">
      <c r="A5" s="1" t="s">
        <v>8</v>
      </c>
      <c r="B5" s="27">
        <v>5</v>
      </c>
      <c r="C5" s="1" t="s">
        <v>9</v>
      </c>
      <c r="D5" s="1" t="s">
        <v>59</v>
      </c>
    </row>
    <row r="6" spans="1:4">
      <c r="A6" s="1" t="s">
        <v>10</v>
      </c>
      <c r="B6" s="14">
        <v>50000000</v>
      </c>
      <c r="C6" s="1" t="s">
        <v>11</v>
      </c>
    </row>
    <row r="7" spans="1:4">
      <c r="A7" s="1" t="s">
        <v>12</v>
      </c>
      <c r="B7" s="14">
        <v>16000000</v>
      </c>
      <c r="C7" s="1" t="s">
        <v>11</v>
      </c>
    </row>
    <row r="8" spans="1:4">
      <c r="A8" s="1" t="s">
        <v>13</v>
      </c>
      <c r="B8" s="14">
        <f>B6-B7</f>
        <v>34000000</v>
      </c>
      <c r="C8" s="1" t="s">
        <v>14</v>
      </c>
    </row>
    <row r="9" spans="1:4">
      <c r="A9" s="1" t="s">
        <v>15</v>
      </c>
      <c r="B9" s="15">
        <v>3.1E-2</v>
      </c>
      <c r="C9" s="1" t="s">
        <v>80</v>
      </c>
    </row>
    <row r="10" spans="1:4">
      <c r="A10" s="1" t="s">
        <v>16</v>
      </c>
      <c r="B10" s="14">
        <v>15</v>
      </c>
      <c r="C10" s="1" t="s">
        <v>9</v>
      </c>
    </row>
    <row r="11" spans="1:4">
      <c r="A11" s="1" t="s">
        <v>17</v>
      </c>
      <c r="B11" s="13" t="s">
        <v>18</v>
      </c>
    </row>
    <row r="12" spans="1:4">
      <c r="A12" s="1" t="s">
        <v>19</v>
      </c>
      <c r="B12" s="14">
        <f>PMT(B9/12,B10*12,-B8)</f>
        <v>236436.42938264977</v>
      </c>
      <c r="C12" s="1" t="s">
        <v>81</v>
      </c>
    </row>
    <row r="14" spans="1:4">
      <c r="A14" s="11" t="s">
        <v>20</v>
      </c>
    </row>
    <row r="15" spans="1:4">
      <c r="A15" s="12" t="s">
        <v>1</v>
      </c>
      <c r="B15" s="12" t="s">
        <v>2</v>
      </c>
      <c r="C15" s="12" t="s">
        <v>3</v>
      </c>
    </row>
    <row r="16" spans="1:4">
      <c r="A16" s="1" t="s">
        <v>21</v>
      </c>
      <c r="B16" s="16">
        <v>80000</v>
      </c>
      <c r="C16" s="1" t="s">
        <v>11</v>
      </c>
    </row>
    <row r="17" spans="1:3">
      <c r="A17" s="1" t="s">
        <v>22</v>
      </c>
      <c r="B17" s="14">
        <v>8</v>
      </c>
    </row>
    <row r="18" spans="1:3">
      <c r="A18" s="1" t="s">
        <v>23</v>
      </c>
      <c r="B18" s="17">
        <v>0.1</v>
      </c>
      <c r="C18" s="1" t="s">
        <v>82</v>
      </c>
    </row>
    <row r="19" spans="1:3">
      <c r="A19" s="1" t="s">
        <v>24</v>
      </c>
      <c r="B19" s="18">
        <v>0.01</v>
      </c>
      <c r="C19" s="1" t="s">
        <v>25</v>
      </c>
    </row>
    <row r="20" spans="1:3">
      <c r="A20" s="1" t="s">
        <v>26</v>
      </c>
      <c r="B20" s="14">
        <v>12000</v>
      </c>
      <c r="C20" s="1" t="s">
        <v>11</v>
      </c>
    </row>
    <row r="21" spans="1:3">
      <c r="A21" s="1" t="s">
        <v>83</v>
      </c>
      <c r="B21" s="14">
        <v>4</v>
      </c>
    </row>
    <row r="22" spans="1:3">
      <c r="A22" s="1" t="s">
        <v>27</v>
      </c>
      <c r="B22" s="27">
        <v>0</v>
      </c>
    </row>
    <row r="23" spans="1:3">
      <c r="A23" s="1" t="s">
        <v>28</v>
      </c>
      <c r="B23" s="27">
        <v>0</v>
      </c>
    </row>
    <row r="25" spans="1:3">
      <c r="A25" s="11" t="s">
        <v>29</v>
      </c>
    </row>
    <row r="26" spans="1:3">
      <c r="A26" s="12" t="s">
        <v>1</v>
      </c>
      <c r="B26" s="12" t="s">
        <v>30</v>
      </c>
      <c r="C26" s="12" t="s">
        <v>3</v>
      </c>
    </row>
    <row r="27" spans="1:3">
      <c r="A27" s="1" t="s">
        <v>31</v>
      </c>
      <c r="B27" s="16">
        <v>33000</v>
      </c>
      <c r="C27" s="1" t="s">
        <v>11</v>
      </c>
    </row>
    <row r="28" spans="1:3">
      <c r="A28" s="1" t="s">
        <v>32</v>
      </c>
      <c r="B28" s="14">
        <v>16000</v>
      </c>
      <c r="C28" s="1" t="s">
        <v>11</v>
      </c>
    </row>
    <row r="29" spans="1:3">
      <c r="A29" s="1" t="s">
        <v>33</v>
      </c>
      <c r="B29" s="19">
        <f>B16*B17*12*0.1/12</f>
        <v>64000</v>
      </c>
      <c r="C29" s="1" t="s">
        <v>34</v>
      </c>
    </row>
    <row r="30" spans="1:3">
      <c r="A30" s="1" t="s">
        <v>35</v>
      </c>
      <c r="B30" s="14">
        <v>48000</v>
      </c>
      <c r="C30" s="1" t="s">
        <v>84</v>
      </c>
    </row>
    <row r="31" spans="1:3">
      <c r="A31" s="1" t="s">
        <v>36</v>
      </c>
      <c r="B31" s="14">
        <f>2000*B17</f>
        <v>16000</v>
      </c>
      <c r="C31" s="1" t="s">
        <v>11</v>
      </c>
    </row>
    <row r="32" spans="1:3">
      <c r="A32" s="1" t="s">
        <v>37</v>
      </c>
      <c r="B32" s="14">
        <f>31000</f>
        <v>31000</v>
      </c>
      <c r="C32" s="1" t="s">
        <v>11</v>
      </c>
    </row>
    <row r="33" spans="1:3">
      <c r="A33" s="1" t="s">
        <v>38</v>
      </c>
      <c r="B33" s="14">
        <f>3000*B17</f>
        <v>24000</v>
      </c>
      <c r="C33" s="1" t="s">
        <v>11</v>
      </c>
    </row>
    <row r="34" spans="1:3">
      <c r="A34" s="1" t="s">
        <v>39</v>
      </c>
      <c r="B34" s="14">
        <f>B12</f>
        <v>236436.42938264977</v>
      </c>
      <c r="C34" s="1" t="s">
        <v>40</v>
      </c>
    </row>
  </sheetData>
  <phoneticPr fontId="4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4750-6D25-4DFA-9026-D4618D175810}">
  <dimension ref="A1:S22"/>
  <sheetViews>
    <sheetView workbookViewId="0">
      <selection activeCell="O25" sqref="O25"/>
    </sheetView>
  </sheetViews>
  <sheetFormatPr defaultColWidth="16.25" defaultRowHeight="14.25"/>
  <cols>
    <col min="1" max="1" width="7.5" style="4" customWidth="1"/>
    <col min="2" max="2" width="7.5" style="4" hidden="1" customWidth="1"/>
    <col min="3" max="5" width="16.125" style="1" bestFit="1" customWidth="1"/>
    <col min="6" max="10" width="11.625" style="1" bestFit="1" customWidth="1"/>
    <col min="11" max="12" width="7.5" style="1" bestFit="1" customWidth="1"/>
    <col min="13" max="13" width="13.125" style="1" bestFit="1" customWidth="1"/>
    <col min="14" max="16" width="16.125" style="1" bestFit="1" customWidth="1"/>
    <col min="17" max="17" width="15" style="1" bestFit="1" customWidth="1"/>
    <col min="18" max="19" width="13.875" style="1" bestFit="1" customWidth="1"/>
    <col min="20" max="16384" width="16.25" style="1"/>
  </cols>
  <sheetData>
    <row r="1" spans="1:19" customFormat="1" ht="13.5">
      <c r="C1" s="28" t="s">
        <v>72</v>
      </c>
      <c r="D1" s="28"/>
      <c r="E1" s="28"/>
      <c r="F1" s="29" t="s">
        <v>73</v>
      </c>
      <c r="G1" s="29"/>
      <c r="H1" s="29"/>
      <c r="I1" s="29"/>
      <c r="J1" s="29"/>
      <c r="K1" s="29"/>
      <c r="L1" s="29"/>
      <c r="M1" s="29"/>
      <c r="N1" s="29"/>
      <c r="O1" s="30" t="s">
        <v>74</v>
      </c>
      <c r="P1" s="30"/>
      <c r="Q1" s="22" t="s">
        <v>76</v>
      </c>
      <c r="R1" s="31" t="s">
        <v>75</v>
      </c>
      <c r="S1" s="31"/>
    </row>
    <row r="2" spans="1:19" s="2" customFormat="1" ht="18.75" customHeight="1">
      <c r="A2" s="5" t="s">
        <v>41</v>
      </c>
      <c r="B2" s="5"/>
      <c r="C2" s="6" t="s">
        <v>42</v>
      </c>
      <c r="D2" s="6" t="s">
        <v>43</v>
      </c>
      <c r="E2" s="6" t="s">
        <v>44</v>
      </c>
      <c r="F2" s="7" t="s">
        <v>31</v>
      </c>
      <c r="G2" s="7" t="s">
        <v>32</v>
      </c>
      <c r="H2" s="7" t="s">
        <v>33</v>
      </c>
      <c r="I2" s="7" t="s">
        <v>35</v>
      </c>
      <c r="J2" s="7" t="s">
        <v>36</v>
      </c>
      <c r="K2" s="7" t="s">
        <v>37</v>
      </c>
      <c r="L2" s="7" t="s">
        <v>38</v>
      </c>
      <c r="M2" s="7" t="s">
        <v>45</v>
      </c>
      <c r="N2" s="7" t="s">
        <v>46</v>
      </c>
      <c r="O2" s="8" t="s">
        <v>60</v>
      </c>
      <c r="P2" s="8" t="s">
        <v>61</v>
      </c>
      <c r="Q2" s="20" t="s">
        <v>47</v>
      </c>
      <c r="R2" s="21" t="s">
        <v>48</v>
      </c>
      <c r="S2" s="21" t="s">
        <v>49</v>
      </c>
    </row>
    <row r="3" spans="1:19" s="3" customFormat="1">
      <c r="A3" s="9" t="s">
        <v>77</v>
      </c>
      <c r="B3" s="9">
        <v>1</v>
      </c>
      <c r="C3" s="10">
        <f>入力情報!B16*入力情報!B17*(1-入力情報!B18)*(1-入力情報!B19)^0</f>
        <v>576000</v>
      </c>
      <c r="D3" s="10">
        <f>入力情報!B20*入力情報!B21</f>
        <v>48000</v>
      </c>
      <c r="E3" s="10">
        <f t="shared" ref="E3:E22" si="0">C3+D3</f>
        <v>624000</v>
      </c>
      <c r="F3" s="10">
        <f>入力情報!B27</f>
        <v>33000</v>
      </c>
      <c r="G3" s="10">
        <f>入力情報!B28</f>
        <v>16000</v>
      </c>
      <c r="H3" s="10">
        <f>C3*0.1</f>
        <v>57600</v>
      </c>
      <c r="I3" s="10">
        <f>入力情報!B30*0</f>
        <v>0</v>
      </c>
      <c r="J3" s="10">
        <f>入力情報!B31</f>
        <v>16000</v>
      </c>
      <c r="K3" s="10">
        <f>入力情報!B28</f>
        <v>16000</v>
      </c>
      <c r="L3" s="10">
        <f>IF(A3="1年目",入力情報!B29,IF(A3="2年目",入力情報!B29,入力情報!B29*1.3))</f>
        <v>64000</v>
      </c>
      <c r="M3" s="10">
        <f>IF(B3&lt;=入力情報!$B$10,入力情報!$B$12,"")</f>
        <v>236436.42938264977</v>
      </c>
      <c r="N3" s="10">
        <f t="shared" ref="N3:N22" si="1">SUM(F3:M3)</f>
        <v>439036.42938264977</v>
      </c>
      <c r="O3" s="10">
        <f>E3-N3</f>
        <v>184963.57061735023</v>
      </c>
      <c r="P3" s="10">
        <f t="shared" ref="P3:P22" si="2">O3*12</f>
        <v>2219562.8474082025</v>
      </c>
      <c r="Q3" s="10">
        <f t="shared" ref="Q3:Q22" si="3">O3*12*0.15</f>
        <v>332934.42711123038</v>
      </c>
      <c r="R3" s="10">
        <f t="shared" ref="R3:R22" si="4">P3-Q3</f>
        <v>1886628.4202969722</v>
      </c>
      <c r="S3" s="10">
        <f>SUM(R$3:R3)</f>
        <v>1886628.4202969722</v>
      </c>
    </row>
    <row r="4" spans="1:19" s="3" customFormat="1">
      <c r="A4" s="9" t="s">
        <v>50</v>
      </c>
      <c r="B4" s="9">
        <v>2</v>
      </c>
      <c r="C4" s="10">
        <f>入力情報!B16*入力情報!B17*(1-入力情報!B18)*(1-入力情報!B19)^1</f>
        <v>570240</v>
      </c>
      <c r="D4" s="10">
        <f>入力情報!B20*入力情報!B21</f>
        <v>48000</v>
      </c>
      <c r="E4" s="10">
        <f t="shared" si="0"/>
        <v>618240</v>
      </c>
      <c r="F4" s="10">
        <f>入力情報!B27</f>
        <v>33000</v>
      </c>
      <c r="G4" s="10">
        <f>入力情報!B28</f>
        <v>16000</v>
      </c>
      <c r="H4" s="10">
        <f>C4*0.1</f>
        <v>57024</v>
      </c>
      <c r="I4" s="10">
        <f>入力情報!B30*0</f>
        <v>0</v>
      </c>
      <c r="J4" s="10">
        <f>入力情報!B31</f>
        <v>16000</v>
      </c>
      <c r="K4" s="10">
        <f>入力情報!B28</f>
        <v>16000</v>
      </c>
      <c r="L4" s="10">
        <f>IF(A4="1年目",入力情報!B29,IF(A4="2年目",入力情報!B29,入力情報!B29*1.3))</f>
        <v>64000</v>
      </c>
      <c r="M4" s="10">
        <f>IF(B4&lt;=入力情報!$B$10,入力情報!$B$12,"")</f>
        <v>236436.42938264977</v>
      </c>
      <c r="N4" s="10">
        <f t="shared" si="1"/>
        <v>438460.42938264977</v>
      </c>
      <c r="O4" s="10">
        <f>E4-N4</f>
        <v>179779.57061735023</v>
      </c>
      <c r="P4" s="10">
        <f t="shared" si="2"/>
        <v>2157354.8474082025</v>
      </c>
      <c r="Q4" s="10">
        <f t="shared" si="3"/>
        <v>323603.22711123037</v>
      </c>
      <c r="R4" s="10">
        <f t="shared" si="4"/>
        <v>1833751.6202969721</v>
      </c>
      <c r="S4" s="10">
        <f>SUM(R$3:R4)</f>
        <v>3720380.0405939445</v>
      </c>
    </row>
    <row r="5" spans="1:19" s="3" customFormat="1">
      <c r="A5" s="9" t="s">
        <v>51</v>
      </c>
      <c r="B5" s="9">
        <v>3</v>
      </c>
      <c r="C5" s="10">
        <f>入力情報!B16*入力情報!B17*(1-入力情報!B18)*(1-入力情報!B19)^2</f>
        <v>564537.59999999998</v>
      </c>
      <c r="D5" s="10">
        <f>入力情報!B20*入力情報!B21</f>
        <v>48000</v>
      </c>
      <c r="E5" s="10">
        <f t="shared" si="0"/>
        <v>612537.59999999998</v>
      </c>
      <c r="F5" s="10">
        <f>入力情報!B27</f>
        <v>33000</v>
      </c>
      <c r="G5" s="10">
        <f>入力情報!B28</f>
        <v>16000</v>
      </c>
      <c r="H5" s="10">
        <f t="shared" ref="H5:H12" si="5">C5*0.1</f>
        <v>56453.760000000002</v>
      </c>
      <c r="I5" s="10">
        <f>入力情報!B30*0</f>
        <v>0</v>
      </c>
      <c r="J5" s="10">
        <f>入力情報!B31</f>
        <v>16000</v>
      </c>
      <c r="K5" s="10">
        <f>入力情報!B28</f>
        <v>16000</v>
      </c>
      <c r="L5" s="10">
        <f>IF(A5="1年目",入力情報!B29,IF(A5="2年目",入力情報!B29,入力情報!B29*1.3))</f>
        <v>83200</v>
      </c>
      <c r="M5" s="10">
        <f>IF(B5&lt;=入力情報!$B$10,入力情報!$B$12,"")</f>
        <v>236436.42938264977</v>
      </c>
      <c r="N5" s="10">
        <f t="shared" si="1"/>
        <v>457090.18938264978</v>
      </c>
      <c r="O5" s="10">
        <f>E5-N5</f>
        <v>155447.41061735019</v>
      </c>
      <c r="P5" s="10">
        <f t="shared" si="2"/>
        <v>1865368.9274082023</v>
      </c>
      <c r="Q5" s="10">
        <f t="shared" si="3"/>
        <v>279805.33911123034</v>
      </c>
      <c r="R5" s="10">
        <f t="shared" si="4"/>
        <v>1585563.588296972</v>
      </c>
      <c r="S5" s="10">
        <f>SUM(R$3:R5)</f>
        <v>5305943.6288909167</v>
      </c>
    </row>
    <row r="6" spans="1:19" s="3" customFormat="1">
      <c r="A6" s="9" t="s">
        <v>52</v>
      </c>
      <c r="B6" s="9">
        <v>4</v>
      </c>
      <c r="C6" s="10">
        <f>入力情報!B16*入力情報!B17*(1-入力情報!B18)*(1-入力情報!B19)^3</f>
        <v>558892.22399999993</v>
      </c>
      <c r="D6" s="10">
        <f>入力情報!B20*入力情報!B21</f>
        <v>48000</v>
      </c>
      <c r="E6" s="10">
        <f t="shared" si="0"/>
        <v>606892.22399999993</v>
      </c>
      <c r="F6" s="10">
        <f>入力情報!B27</f>
        <v>33000</v>
      </c>
      <c r="G6" s="10">
        <f>入力情報!B28</f>
        <v>16000</v>
      </c>
      <c r="H6" s="10">
        <f t="shared" si="5"/>
        <v>55889.222399999999</v>
      </c>
      <c r="I6" s="10">
        <f>入力情報!B30*0</f>
        <v>0</v>
      </c>
      <c r="J6" s="10">
        <f>入力情報!B31</f>
        <v>16000</v>
      </c>
      <c r="K6" s="10">
        <f>入力情報!B28</f>
        <v>16000</v>
      </c>
      <c r="L6" s="10">
        <f>IF(A6="1年目",入力情報!B29,IF(A6="2年目",入力情報!B29,入力情報!B29*1.3))</f>
        <v>83200</v>
      </c>
      <c r="M6" s="10">
        <f>IF(B6&lt;=入力情報!$B$10,入力情報!$B$12,"")</f>
        <v>236436.42938264977</v>
      </c>
      <c r="N6" s="10">
        <f t="shared" si="1"/>
        <v>456525.6517826498</v>
      </c>
      <c r="O6" s="10">
        <f t="shared" ref="O6:O12" si="6">E6-N6</f>
        <v>150366.57221735013</v>
      </c>
      <c r="P6" s="10">
        <f t="shared" si="2"/>
        <v>1804398.8666082015</v>
      </c>
      <c r="Q6" s="10">
        <f t="shared" si="3"/>
        <v>270659.82999123022</v>
      </c>
      <c r="R6" s="10">
        <f t="shared" si="4"/>
        <v>1533739.0366169713</v>
      </c>
      <c r="S6" s="10">
        <f>SUM(R$3:R6)</f>
        <v>6839682.6655078884</v>
      </c>
    </row>
    <row r="7" spans="1:19" s="3" customFormat="1">
      <c r="A7" s="9" t="s">
        <v>53</v>
      </c>
      <c r="B7" s="9">
        <v>5</v>
      </c>
      <c r="C7" s="10">
        <f>入力情報!B16*入力情報!B17*(1-入力情報!B18)*(1-入力情報!B19)^4</f>
        <v>553303.30175999994</v>
      </c>
      <c r="D7" s="10">
        <f>入力情報!B20*入力情報!B21</f>
        <v>48000</v>
      </c>
      <c r="E7" s="10">
        <f t="shared" si="0"/>
        <v>601303.30175999994</v>
      </c>
      <c r="F7" s="10">
        <f>入力情報!B27</f>
        <v>33000</v>
      </c>
      <c r="G7" s="10">
        <f>入力情報!B28</f>
        <v>16000</v>
      </c>
      <c r="H7" s="10">
        <f t="shared" si="5"/>
        <v>55330.330175999996</v>
      </c>
      <c r="I7" s="10">
        <f>入力情報!B30*0</f>
        <v>0</v>
      </c>
      <c r="J7" s="10">
        <f>入力情報!B31</f>
        <v>16000</v>
      </c>
      <c r="K7" s="10">
        <f>入力情報!B28</f>
        <v>16000</v>
      </c>
      <c r="L7" s="10">
        <f>IF(A7="1年目",入力情報!B29,IF(A7="2年目",入力情報!B29,入力情報!B29*1.3))</f>
        <v>83200</v>
      </c>
      <c r="M7" s="10">
        <f>IF(B7&lt;=入力情報!$B$10,入力情報!$B$12,"")</f>
        <v>236436.42938264977</v>
      </c>
      <c r="N7" s="10">
        <f t="shared" si="1"/>
        <v>455966.75955864973</v>
      </c>
      <c r="O7" s="10">
        <f t="shared" si="6"/>
        <v>145336.54220135021</v>
      </c>
      <c r="P7" s="10">
        <f t="shared" si="2"/>
        <v>1744038.5064162025</v>
      </c>
      <c r="Q7" s="10">
        <f t="shared" si="3"/>
        <v>261605.77596243037</v>
      </c>
      <c r="R7" s="10">
        <f t="shared" si="4"/>
        <v>1482432.7304537722</v>
      </c>
      <c r="S7" s="10">
        <f>SUM(R$3:R7)</f>
        <v>8322115.3959616609</v>
      </c>
    </row>
    <row r="8" spans="1:19" s="3" customFormat="1">
      <c r="A8" s="9" t="s">
        <v>54</v>
      </c>
      <c r="B8" s="9">
        <v>6</v>
      </c>
      <c r="C8" s="10">
        <f>入力情報!B16*入力情報!B17*(1-入力情報!B18)*(1-入力情報!B19)^5</f>
        <v>547770.26874239999</v>
      </c>
      <c r="D8" s="10">
        <f>入力情報!B20*入力情報!B21</f>
        <v>48000</v>
      </c>
      <c r="E8" s="10">
        <f t="shared" si="0"/>
        <v>595770.26874239999</v>
      </c>
      <c r="F8" s="10">
        <f>入力情報!B27</f>
        <v>33000</v>
      </c>
      <c r="G8" s="10">
        <f>入力情報!B28</f>
        <v>16000</v>
      </c>
      <c r="H8" s="10">
        <f t="shared" si="5"/>
        <v>54777.02687424</v>
      </c>
      <c r="I8" s="10">
        <f>入力情報!B30</f>
        <v>48000</v>
      </c>
      <c r="J8" s="10">
        <f>入力情報!B31</f>
        <v>16000</v>
      </c>
      <c r="K8" s="10">
        <f>入力情報!B28</f>
        <v>16000</v>
      </c>
      <c r="L8" s="10">
        <f>IF(A8="1年目",入力情報!B29,IF(A8="2年目",入力情報!B29,入力情報!B29*1.3))</f>
        <v>83200</v>
      </c>
      <c r="M8" s="10">
        <f>IF(B8&lt;=入力情報!$B$10,入力情報!$B$12,"")</f>
        <v>236436.42938264977</v>
      </c>
      <c r="N8" s="10">
        <f t="shared" si="1"/>
        <v>503413.4562568898</v>
      </c>
      <c r="O8" s="10">
        <f t="shared" si="6"/>
        <v>92356.812485510192</v>
      </c>
      <c r="P8" s="10">
        <f t="shared" si="2"/>
        <v>1108281.7498261223</v>
      </c>
      <c r="Q8" s="10">
        <f t="shared" si="3"/>
        <v>166242.26247391835</v>
      </c>
      <c r="R8" s="10">
        <f t="shared" si="4"/>
        <v>942039.48735220393</v>
      </c>
      <c r="S8" s="10">
        <f>SUM(R$3:R8)</f>
        <v>9264154.8833138645</v>
      </c>
    </row>
    <row r="9" spans="1:19" s="3" customFormat="1">
      <c r="A9" s="9" t="s">
        <v>55</v>
      </c>
      <c r="B9" s="9">
        <v>7</v>
      </c>
      <c r="C9" s="10">
        <f>入力情報!B16*入力情報!B17*(1-入力情報!B18)*(1-入力情報!B19)^6</f>
        <v>542292.56605497596</v>
      </c>
      <c r="D9" s="10">
        <f>入力情報!B20*入力情報!B21</f>
        <v>48000</v>
      </c>
      <c r="E9" s="10">
        <f t="shared" si="0"/>
        <v>590292.56605497596</v>
      </c>
      <c r="F9" s="10">
        <f>入力情報!B27</f>
        <v>33000</v>
      </c>
      <c r="G9" s="10">
        <f>入力情報!B28</f>
        <v>16000</v>
      </c>
      <c r="H9" s="10">
        <f t="shared" si="5"/>
        <v>54229.256605497598</v>
      </c>
      <c r="I9" s="10">
        <f>入力情報!B30</f>
        <v>48000</v>
      </c>
      <c r="J9" s="10">
        <f>入力情報!B31</f>
        <v>16000</v>
      </c>
      <c r="K9" s="10">
        <f>入力情報!B28</f>
        <v>16000</v>
      </c>
      <c r="L9" s="10">
        <f>IF(A9="1年目",入力情報!B29,IF(A9="2年目",入力情報!B29,入力情報!B29*1.3))</f>
        <v>83200</v>
      </c>
      <c r="M9" s="10">
        <f>IF(B9&lt;=入力情報!$B$10,入力情報!$B$12,"")</f>
        <v>236436.42938264977</v>
      </c>
      <c r="N9" s="10">
        <f t="shared" si="1"/>
        <v>502865.68598814734</v>
      </c>
      <c r="O9" s="10">
        <f t="shared" si="6"/>
        <v>87426.880066828628</v>
      </c>
      <c r="P9" s="10">
        <f t="shared" si="2"/>
        <v>1049122.5608019435</v>
      </c>
      <c r="Q9" s="10">
        <f t="shared" si="3"/>
        <v>157368.38412029154</v>
      </c>
      <c r="R9" s="10">
        <f t="shared" si="4"/>
        <v>891754.17668165197</v>
      </c>
      <c r="S9" s="10">
        <f>SUM(R$3:R9)</f>
        <v>10155909.059995517</v>
      </c>
    </row>
    <row r="10" spans="1:19" s="3" customFormat="1">
      <c r="A10" s="9" t="s">
        <v>56</v>
      </c>
      <c r="B10" s="9">
        <v>8</v>
      </c>
      <c r="C10" s="10">
        <f>入力情報!B16*入力情報!B17*(1-入力情報!B18)*(1-入力情報!B19)^7</f>
        <v>536869.64039442618</v>
      </c>
      <c r="D10" s="10">
        <f>入力情報!B20*入力情報!B21</f>
        <v>48000</v>
      </c>
      <c r="E10" s="10">
        <f t="shared" si="0"/>
        <v>584869.64039442618</v>
      </c>
      <c r="F10" s="10">
        <f>入力情報!B27</f>
        <v>33000</v>
      </c>
      <c r="G10" s="10">
        <f>入力情報!B28</f>
        <v>16000</v>
      </c>
      <c r="H10" s="10">
        <f t="shared" si="5"/>
        <v>53686.964039442624</v>
      </c>
      <c r="I10" s="10">
        <f>入力情報!B30</f>
        <v>48000</v>
      </c>
      <c r="J10" s="10">
        <f>入力情報!B31</f>
        <v>16000</v>
      </c>
      <c r="K10" s="10">
        <f>入力情報!B28</f>
        <v>16000</v>
      </c>
      <c r="L10" s="10">
        <f>IF(A10="1年目",入力情報!B29,IF(A10="2年目",入力情報!B29,入力情報!B29*1.3))</f>
        <v>83200</v>
      </c>
      <c r="M10" s="10">
        <f>IF(B10&lt;=入力情報!$B$10,入力情報!$B$12,"")</f>
        <v>236436.42938264977</v>
      </c>
      <c r="N10" s="10">
        <f t="shared" si="1"/>
        <v>502323.39342209237</v>
      </c>
      <c r="O10" s="10">
        <f>E10-N10</f>
        <v>82546.246972333814</v>
      </c>
      <c r="P10" s="10">
        <f t="shared" si="2"/>
        <v>990554.96366800577</v>
      </c>
      <c r="Q10" s="10">
        <f t="shared" si="3"/>
        <v>148583.24455020085</v>
      </c>
      <c r="R10" s="10">
        <f t="shared" si="4"/>
        <v>841971.7191178049</v>
      </c>
      <c r="S10" s="10">
        <f>SUM(R$3:R10)</f>
        <v>10997880.779113322</v>
      </c>
    </row>
    <row r="11" spans="1:19" s="3" customFormat="1">
      <c r="A11" s="9" t="s">
        <v>57</v>
      </c>
      <c r="B11" s="9">
        <v>9</v>
      </c>
      <c r="C11" s="10">
        <f>入力情報!B16*入力情報!B17*(1-入力情報!B18)*(1-入力情報!B19)^8</f>
        <v>531500.9439904819</v>
      </c>
      <c r="D11" s="10">
        <f>入力情報!B20*入力情報!B21</f>
        <v>48000</v>
      </c>
      <c r="E11" s="10">
        <f t="shared" si="0"/>
        <v>579500.9439904819</v>
      </c>
      <c r="F11" s="10">
        <f>入力情報!B27</f>
        <v>33000</v>
      </c>
      <c r="G11" s="10">
        <f>入力情報!B28</f>
        <v>16000</v>
      </c>
      <c r="H11" s="10">
        <f t="shared" si="5"/>
        <v>53150.09439904819</v>
      </c>
      <c r="I11" s="10">
        <f>入力情報!B30</f>
        <v>48000</v>
      </c>
      <c r="J11" s="10">
        <f>入力情報!B31</f>
        <v>16000</v>
      </c>
      <c r="K11" s="10">
        <f>入力情報!B28</f>
        <v>16000</v>
      </c>
      <c r="L11" s="10">
        <f>IF(A11="1年目",入力情報!B29,IF(A11="2年目",入力情報!B29,入力情報!B29*1.3))</f>
        <v>83200</v>
      </c>
      <c r="M11" s="10">
        <f>IF(B11&lt;=入力情報!$B$10,入力情報!$B$12,"")</f>
        <v>236436.42938264977</v>
      </c>
      <c r="N11" s="10">
        <f t="shared" si="1"/>
        <v>501786.52378169796</v>
      </c>
      <c r="O11" s="10">
        <f t="shared" si="6"/>
        <v>77714.420208783937</v>
      </c>
      <c r="P11" s="10">
        <f t="shared" si="2"/>
        <v>932573.04250540724</v>
      </c>
      <c r="Q11" s="10">
        <f t="shared" si="3"/>
        <v>139885.95637581107</v>
      </c>
      <c r="R11" s="10">
        <f t="shared" si="4"/>
        <v>792687.08612959622</v>
      </c>
      <c r="S11" s="10">
        <f>SUM(R$3:R11)</f>
        <v>11790567.865242919</v>
      </c>
    </row>
    <row r="12" spans="1:19" s="3" customFormat="1">
      <c r="A12" s="9" t="s">
        <v>58</v>
      </c>
      <c r="B12" s="9">
        <v>10</v>
      </c>
      <c r="C12" s="10">
        <f>入力情報!B16*入力情報!B17*(1-入力情報!B18)*(1-入力情報!B19)^9</f>
        <v>526185.93455057708</v>
      </c>
      <c r="D12" s="10">
        <f>入力情報!B20*入力情報!B21</f>
        <v>48000</v>
      </c>
      <c r="E12" s="10">
        <f t="shared" si="0"/>
        <v>574185.93455057708</v>
      </c>
      <c r="F12" s="10">
        <f>入力情報!B27</f>
        <v>33000</v>
      </c>
      <c r="G12" s="10">
        <f>入力情報!B28</f>
        <v>16000</v>
      </c>
      <c r="H12" s="10">
        <f t="shared" si="5"/>
        <v>52618.593455057708</v>
      </c>
      <c r="I12" s="10">
        <f>入力情報!B30</f>
        <v>48000</v>
      </c>
      <c r="J12" s="10">
        <f>入力情報!B31</f>
        <v>16000</v>
      </c>
      <c r="K12" s="10">
        <f>入力情報!B28</f>
        <v>16000</v>
      </c>
      <c r="L12" s="10">
        <f>IF(A12="1年目",入力情報!B29,IF(A12="2年目",入力情報!B29,入力情報!B29*1.3))</f>
        <v>83200</v>
      </c>
      <c r="M12" s="10">
        <f>IF(B12&lt;=入力情報!$B$10,入力情報!$B$12,"")</f>
        <v>236436.42938264977</v>
      </c>
      <c r="N12" s="10">
        <f t="shared" si="1"/>
        <v>501255.02283770748</v>
      </c>
      <c r="O12" s="10">
        <f t="shared" si="6"/>
        <v>72930.911712869594</v>
      </c>
      <c r="P12" s="10">
        <f t="shared" si="2"/>
        <v>875170.94055443513</v>
      </c>
      <c r="Q12" s="10">
        <f t="shared" si="3"/>
        <v>131275.64108316528</v>
      </c>
      <c r="R12" s="10">
        <f t="shared" si="4"/>
        <v>743895.29947126983</v>
      </c>
      <c r="S12" s="10">
        <f>SUM(R$3:R12)</f>
        <v>12534463.164714189</v>
      </c>
    </row>
    <row r="13" spans="1:19">
      <c r="A13" s="9" t="s">
        <v>62</v>
      </c>
      <c r="B13" s="9">
        <v>11</v>
      </c>
      <c r="C13" s="10">
        <f>入力情報!B16*入力情報!B17*(1-入力情報!B18)*(1-入力情報!B19)^10</f>
        <v>520924.07520507125</v>
      </c>
      <c r="D13" s="10">
        <f>入力情報!B20*入力情報!B21</f>
        <v>48000</v>
      </c>
      <c r="E13" s="10">
        <f t="shared" si="0"/>
        <v>568924.07520507125</v>
      </c>
      <c r="F13" s="10">
        <f>入力情報!B27</f>
        <v>33000</v>
      </c>
      <c r="G13" s="10">
        <f>入力情報!B28</f>
        <v>16000</v>
      </c>
      <c r="H13" s="10">
        <f>C13*0.1</f>
        <v>52092.407520507128</v>
      </c>
      <c r="I13" s="10">
        <f>入力情報!B30</f>
        <v>48000</v>
      </c>
      <c r="J13" s="10">
        <f>入力情報!B31</f>
        <v>16000</v>
      </c>
      <c r="K13" s="10">
        <f>入力情報!B28</f>
        <v>16000</v>
      </c>
      <c r="L13" s="10">
        <f>IF(A12="1年目",入力情報!B29,IF(A12="2年目",入力情報!B29,入力情報!B29*1.3))</f>
        <v>83200</v>
      </c>
      <c r="M13" s="10">
        <f>IF(B13&lt;=入力情報!$B$10,入力情報!$B$12,"")</f>
        <v>236436.42938264977</v>
      </c>
      <c r="N13" s="10">
        <f t="shared" si="1"/>
        <v>500728.83690315689</v>
      </c>
      <c r="O13" s="10">
        <f>E13-N13</f>
        <v>68195.23830191436</v>
      </c>
      <c r="P13" s="10">
        <f t="shared" si="2"/>
        <v>818342.85962297232</v>
      </c>
      <c r="Q13" s="10">
        <f t="shared" si="3"/>
        <v>122751.42894344585</v>
      </c>
      <c r="R13" s="10">
        <f t="shared" si="4"/>
        <v>695591.43067952641</v>
      </c>
      <c r="S13" s="10">
        <f>SUM(R$3:R13)</f>
        <v>13230054.595393715</v>
      </c>
    </row>
    <row r="14" spans="1:19">
      <c r="A14" s="9" t="s">
        <v>63</v>
      </c>
      <c r="B14" s="9">
        <v>12</v>
      </c>
      <c r="C14" s="10">
        <f>入力情報!B16*入力情報!B17*(1-入力情報!B18)*(1-入力情報!B19)^11</f>
        <v>515714.83445302059</v>
      </c>
      <c r="D14" s="10">
        <f>入力情報!B20*入力情報!B21</f>
        <v>48000</v>
      </c>
      <c r="E14" s="10">
        <f t="shared" si="0"/>
        <v>563714.83445302059</v>
      </c>
      <c r="F14" s="10">
        <f>入力情報!B27</f>
        <v>33000</v>
      </c>
      <c r="G14" s="10">
        <f>入力情報!B28</f>
        <v>16000</v>
      </c>
      <c r="H14" s="10">
        <f>C14*0.1</f>
        <v>51571.483445302059</v>
      </c>
      <c r="I14" s="10">
        <f>入力情報!B30</f>
        <v>48000</v>
      </c>
      <c r="J14" s="10">
        <f>入力情報!B31</f>
        <v>16000</v>
      </c>
      <c r="K14" s="10">
        <f>入力情報!B28</f>
        <v>16000</v>
      </c>
      <c r="L14" s="10">
        <f>IF(A12="1年目",入力情報!B29,IF(A12="2年目",入力情報!B29,入力情報!B29*1.3))</f>
        <v>83200</v>
      </c>
      <c r="M14" s="10">
        <f>IF(B14&lt;=入力情報!$B$10,入力情報!$B$12,"")</f>
        <v>236436.42938264977</v>
      </c>
      <c r="N14" s="10">
        <f t="shared" si="1"/>
        <v>500207.91282795183</v>
      </c>
      <c r="O14" s="10">
        <f>E14-N14</f>
        <v>63506.92162506876</v>
      </c>
      <c r="P14" s="10">
        <f t="shared" si="2"/>
        <v>762083.05950082513</v>
      </c>
      <c r="Q14" s="10">
        <f t="shared" si="3"/>
        <v>114312.45892512376</v>
      </c>
      <c r="R14" s="10">
        <f t="shared" si="4"/>
        <v>647770.60057570133</v>
      </c>
      <c r="S14" s="10">
        <f>SUM(R$3:R14)</f>
        <v>13877825.195969418</v>
      </c>
    </row>
    <row r="15" spans="1:19">
      <c r="A15" s="9" t="s">
        <v>64</v>
      </c>
      <c r="B15" s="9">
        <v>13</v>
      </c>
      <c r="C15" s="10">
        <f>入力情報!B16*入力情報!B17*(1-入力情報!B18)*(1-入力情報!B19)^12</f>
        <v>510557.68610849039</v>
      </c>
      <c r="D15" s="10">
        <f>入力情報!B20*入力情報!B21</f>
        <v>48000</v>
      </c>
      <c r="E15" s="10">
        <f t="shared" si="0"/>
        <v>558557.68610849045</v>
      </c>
      <c r="F15" s="10">
        <f>入力情報!B27</f>
        <v>33000</v>
      </c>
      <c r="G15" s="10">
        <f>入力情報!B28</f>
        <v>16000</v>
      </c>
      <c r="H15" s="10">
        <f t="shared" ref="H15:H22" si="7">C15*0.1</f>
        <v>51055.768610849045</v>
      </c>
      <c r="I15" s="10">
        <f>入力情報!B30</f>
        <v>48000</v>
      </c>
      <c r="J15" s="10">
        <f>入力情報!B31</f>
        <v>16000</v>
      </c>
      <c r="K15" s="10">
        <f>入力情報!B28</f>
        <v>16000</v>
      </c>
      <c r="L15" s="10">
        <f>IF(A12="1年目",入力情報!B29,IF(A12="2年目",入力情報!B29,入力情報!B29*1.3))</f>
        <v>83200</v>
      </c>
      <c r="M15" s="10">
        <f>IF(B15&lt;=入力情報!$B$10,入力情報!$B$12,"")</f>
        <v>236436.42938264977</v>
      </c>
      <c r="N15" s="10">
        <f t="shared" si="1"/>
        <v>499692.19799349882</v>
      </c>
      <c r="O15" s="10">
        <f>E15-N15</f>
        <v>58865.488114991633</v>
      </c>
      <c r="P15" s="10">
        <f t="shared" si="2"/>
        <v>706385.85737989959</v>
      </c>
      <c r="Q15" s="10">
        <f t="shared" si="3"/>
        <v>105957.87860698493</v>
      </c>
      <c r="R15" s="10">
        <f t="shared" si="4"/>
        <v>600427.97877291462</v>
      </c>
      <c r="S15" s="10">
        <f>SUM(R$3:R15)</f>
        <v>14478253.174742332</v>
      </c>
    </row>
    <row r="16" spans="1:19">
      <c r="A16" s="9" t="s">
        <v>65</v>
      </c>
      <c r="B16" s="9">
        <v>14</v>
      </c>
      <c r="C16" s="10">
        <f>入力情報!B16*入力情報!B17*(1-入力情報!B18)*(1-入力情報!B19)^13</f>
        <v>505452.10924740543</v>
      </c>
      <c r="D16" s="10">
        <f>入力情報!B20*入力情報!B21</f>
        <v>48000</v>
      </c>
      <c r="E16" s="10">
        <f t="shared" si="0"/>
        <v>553452.10924740543</v>
      </c>
      <c r="F16" s="10">
        <f>入力情報!B27</f>
        <v>33000</v>
      </c>
      <c r="G16" s="10">
        <f>入力情報!B28</f>
        <v>16000</v>
      </c>
      <c r="H16" s="10">
        <f t="shared" si="7"/>
        <v>50545.210924740546</v>
      </c>
      <c r="I16" s="10">
        <f>入力情報!B30</f>
        <v>48000</v>
      </c>
      <c r="J16" s="10">
        <f>入力情報!B31</f>
        <v>16000</v>
      </c>
      <c r="K16" s="10">
        <f>入力情報!B28</f>
        <v>16000</v>
      </c>
      <c r="L16" s="10">
        <f>IF(A12="1年目",入力情報!B29,IF(A12="2年目",入力情報!B29,入力情報!B29*1.3))</f>
        <v>83200</v>
      </c>
      <c r="M16" s="10">
        <f>IF(B16&lt;=入力情報!$B$10,入力情報!$B$12,"")</f>
        <v>236436.42938264977</v>
      </c>
      <c r="N16" s="10">
        <f t="shared" si="1"/>
        <v>499181.64030739031</v>
      </c>
      <c r="O16" s="10">
        <f t="shared" ref="O16:O22" si="8">E16-N16</f>
        <v>54270.468940015126</v>
      </c>
      <c r="P16" s="10">
        <f t="shared" si="2"/>
        <v>651245.62728018151</v>
      </c>
      <c r="Q16" s="10">
        <f t="shared" si="3"/>
        <v>97686.844092027226</v>
      </c>
      <c r="R16" s="10">
        <f t="shared" si="4"/>
        <v>553558.78318815422</v>
      </c>
      <c r="S16" s="10">
        <f>SUM(R$3:R16)</f>
        <v>15031811.957930487</v>
      </c>
    </row>
    <row r="17" spans="1:19">
      <c r="A17" s="9" t="s">
        <v>66</v>
      </c>
      <c r="B17" s="9">
        <v>15</v>
      </c>
      <c r="C17" s="10">
        <f>入力情報!B16*入力情報!B17*(1-入力情報!B18)*(1-入力情報!B19)^14</f>
        <v>500397.58815493138</v>
      </c>
      <c r="D17" s="10">
        <f>入力情報!B20*入力情報!B21</f>
        <v>48000</v>
      </c>
      <c r="E17" s="10">
        <f t="shared" si="0"/>
        <v>548397.58815493132</v>
      </c>
      <c r="F17" s="10">
        <f>入力情報!B27</f>
        <v>33000</v>
      </c>
      <c r="G17" s="10">
        <f>入力情報!B28</f>
        <v>16000</v>
      </c>
      <c r="H17" s="10">
        <f t="shared" si="7"/>
        <v>50039.758815493144</v>
      </c>
      <c r="I17" s="10">
        <f>入力情報!B30</f>
        <v>48000</v>
      </c>
      <c r="J17" s="10">
        <f>入力情報!B31</f>
        <v>16000</v>
      </c>
      <c r="K17" s="10">
        <f>入力情報!B28</f>
        <v>16000</v>
      </c>
      <c r="L17" s="10">
        <f>IF(A12="1年目",入力情報!B29,IF(A12="2年目",入力情報!B29,入力情報!B29*1.3))</f>
        <v>83200</v>
      </c>
      <c r="M17" s="10">
        <f>IF(B17&lt;=入力情報!$B$10,入力情報!$B$12,"")</f>
        <v>236436.42938264977</v>
      </c>
      <c r="N17" s="10">
        <f t="shared" si="1"/>
        <v>498676.18819814292</v>
      </c>
      <c r="O17" s="10">
        <f t="shared" si="8"/>
        <v>49721.399956788402</v>
      </c>
      <c r="P17" s="10">
        <f t="shared" si="2"/>
        <v>596656.79948146082</v>
      </c>
      <c r="Q17" s="10">
        <f t="shared" si="3"/>
        <v>89498.519922219115</v>
      </c>
      <c r="R17" s="10">
        <f t="shared" si="4"/>
        <v>507158.27955924172</v>
      </c>
      <c r="S17" s="10">
        <f>SUM(R$3:R17)</f>
        <v>15538970.237489728</v>
      </c>
    </row>
    <row r="18" spans="1:19">
      <c r="A18" s="9" t="s">
        <v>67</v>
      </c>
      <c r="B18" s="9">
        <v>16</v>
      </c>
      <c r="C18" s="10">
        <f>入力情報!B16*入力情報!B17*(1-入力情報!B18)*(1-入力情報!B19)^15</f>
        <v>495393.61227338208</v>
      </c>
      <c r="D18" s="10">
        <f>入力情報!B20*入力情報!B21</f>
        <v>48000</v>
      </c>
      <c r="E18" s="10">
        <f t="shared" si="0"/>
        <v>543393.61227338202</v>
      </c>
      <c r="F18" s="10">
        <f>入力情報!B27</f>
        <v>33000</v>
      </c>
      <c r="G18" s="10">
        <f>入力情報!B28</f>
        <v>16000</v>
      </c>
      <c r="H18" s="10">
        <f t="shared" si="7"/>
        <v>49539.36122733821</v>
      </c>
      <c r="I18" s="10">
        <f>入力情報!B30</f>
        <v>48000</v>
      </c>
      <c r="J18" s="10">
        <f>入力情報!B31</f>
        <v>16000</v>
      </c>
      <c r="K18" s="10">
        <f>入力情報!B28</f>
        <v>16000</v>
      </c>
      <c r="L18" s="10">
        <f>IF(A12="1年目",入力情報!B29,IF(A12="2年目",入力情報!B29,入力情報!B29*1.3))</f>
        <v>83200</v>
      </c>
      <c r="M18" s="10" t="str">
        <f>IF(B18&lt;=入力情報!$B$10,入力情報!$B$12,"")</f>
        <v/>
      </c>
      <c r="N18" s="10">
        <f t="shared" si="1"/>
        <v>261739.3612273382</v>
      </c>
      <c r="O18" s="10">
        <f>E18-N18</f>
        <v>281654.25104604382</v>
      </c>
      <c r="P18" s="10">
        <f t="shared" si="2"/>
        <v>3379851.0125525258</v>
      </c>
      <c r="Q18" s="10">
        <f t="shared" si="3"/>
        <v>506977.65188287885</v>
      </c>
      <c r="R18" s="10">
        <f t="shared" si="4"/>
        <v>2872873.3606696469</v>
      </c>
      <c r="S18" s="10">
        <f>SUM(R$3:R18)</f>
        <v>18411843.598159377</v>
      </c>
    </row>
    <row r="19" spans="1:19">
      <c r="A19" s="9" t="s">
        <v>68</v>
      </c>
      <c r="B19" s="9">
        <v>17</v>
      </c>
      <c r="C19" s="10">
        <f>入力情報!B16*入力情報!B17*(1-入力情報!B18)*(1-入力情報!B19)^16</f>
        <v>490439.67615064821</v>
      </c>
      <c r="D19" s="10">
        <f>入力情報!B20*入力情報!B21</f>
        <v>48000</v>
      </c>
      <c r="E19" s="10">
        <f t="shared" si="0"/>
        <v>538439.67615064816</v>
      </c>
      <c r="F19" s="10">
        <f>入力情報!B27</f>
        <v>33000</v>
      </c>
      <c r="G19" s="10">
        <f>入力情報!B28</f>
        <v>16000</v>
      </c>
      <c r="H19" s="10">
        <f t="shared" si="7"/>
        <v>49043.967615064823</v>
      </c>
      <c r="I19" s="10">
        <f>入力情報!B30</f>
        <v>48000</v>
      </c>
      <c r="J19" s="10">
        <f>入力情報!B31</f>
        <v>16000</v>
      </c>
      <c r="K19" s="10">
        <f>入力情報!B28</f>
        <v>16000</v>
      </c>
      <c r="L19" s="10">
        <f>IF(A12="1年目",入力情報!B29,IF(A12="2年目",入力情報!B29,入力情報!B29*1.3))</f>
        <v>83200</v>
      </c>
      <c r="M19" s="10" t="str">
        <f>IF(B19&lt;=入力情報!$B$10,入力情報!$B$12,"")</f>
        <v/>
      </c>
      <c r="N19" s="10">
        <f t="shared" si="1"/>
        <v>261243.96761506482</v>
      </c>
      <c r="O19" s="10">
        <f t="shared" si="8"/>
        <v>277195.70853558334</v>
      </c>
      <c r="P19" s="10">
        <f t="shared" si="2"/>
        <v>3326348.5024270001</v>
      </c>
      <c r="Q19" s="10">
        <f t="shared" si="3"/>
        <v>498952.27536405</v>
      </c>
      <c r="R19" s="10">
        <f t="shared" si="4"/>
        <v>2827396.2270629499</v>
      </c>
      <c r="S19" s="10">
        <f>SUM(R$3:R19)</f>
        <v>21239239.825222328</v>
      </c>
    </row>
    <row r="20" spans="1:19">
      <c r="A20" s="9" t="s">
        <v>69</v>
      </c>
      <c r="B20" s="9">
        <v>18</v>
      </c>
      <c r="C20" s="10">
        <f>入力情報!B16*入力情報!B17*(1-入力情報!B18)*(1-入力情報!B19)^17</f>
        <v>485535.27938914177</v>
      </c>
      <c r="D20" s="10">
        <f>入力情報!B20*入力情報!B21</f>
        <v>48000</v>
      </c>
      <c r="E20" s="10">
        <f t="shared" si="0"/>
        <v>533535.27938914183</v>
      </c>
      <c r="F20" s="10">
        <f>入力情報!B27</f>
        <v>33000</v>
      </c>
      <c r="G20" s="10">
        <f>入力情報!B28</f>
        <v>16000</v>
      </c>
      <c r="H20" s="10">
        <f t="shared" si="7"/>
        <v>48553.52793891418</v>
      </c>
      <c r="I20" s="10">
        <f>入力情報!B30</f>
        <v>48000</v>
      </c>
      <c r="J20" s="10">
        <f>入力情報!B31</f>
        <v>16000</v>
      </c>
      <c r="K20" s="10">
        <f>入力情報!B28</f>
        <v>16000</v>
      </c>
      <c r="L20" s="10">
        <f>IF(A12="1年目",入力情報!B29,IF(A12="2年目",入力情報!B29,入力情報!B29*1.3))</f>
        <v>83200</v>
      </c>
      <c r="M20" s="10" t="str">
        <f>IF(B20&lt;=入力情報!$B$10,入力情報!$B$12,"")</f>
        <v/>
      </c>
      <c r="N20" s="10">
        <f t="shared" si="1"/>
        <v>260753.52793891419</v>
      </c>
      <c r="O20" s="10">
        <f>E20-N20</f>
        <v>272781.75145022763</v>
      </c>
      <c r="P20" s="10">
        <f t="shared" si="2"/>
        <v>3273381.0174027318</v>
      </c>
      <c r="Q20" s="10">
        <f t="shared" si="3"/>
        <v>491007.15261040977</v>
      </c>
      <c r="R20" s="10">
        <f t="shared" si="4"/>
        <v>2782373.8647923218</v>
      </c>
      <c r="S20" s="10">
        <f>SUM(R$3:R20)</f>
        <v>24021613.690014649</v>
      </c>
    </row>
    <row r="21" spans="1:19">
      <c r="A21" s="9" t="s">
        <v>70</v>
      </c>
      <c r="B21" s="9">
        <v>19</v>
      </c>
      <c r="C21" s="10">
        <f>入力情報!B16*入力情報!B17*(1-入力情報!B18)*(1-入力情報!B19)^18</f>
        <v>480679.92659525032</v>
      </c>
      <c r="D21" s="10">
        <f>入力情報!B20*入力情報!B21</f>
        <v>48000</v>
      </c>
      <c r="E21" s="10">
        <f t="shared" si="0"/>
        <v>528679.92659525038</v>
      </c>
      <c r="F21" s="10">
        <f>入力情報!B27</f>
        <v>33000</v>
      </c>
      <c r="G21" s="10">
        <f>入力情報!B28</f>
        <v>16000</v>
      </c>
      <c r="H21" s="10">
        <f t="shared" si="7"/>
        <v>48067.992659525036</v>
      </c>
      <c r="I21" s="10">
        <f>入力情報!B30</f>
        <v>48000</v>
      </c>
      <c r="J21" s="10">
        <f>入力情報!B31</f>
        <v>16000</v>
      </c>
      <c r="K21" s="10">
        <f>入力情報!B28</f>
        <v>16000</v>
      </c>
      <c r="L21" s="10">
        <f>IF(A12="1年目",入力情報!B29,IF(A12="2年目",入力情報!B29,入力情報!B29*1.3))</f>
        <v>83200</v>
      </c>
      <c r="M21" s="10" t="str">
        <f>IF(B21&lt;=入力情報!$B$10,入力情報!$B$12,"")</f>
        <v/>
      </c>
      <c r="N21" s="10">
        <f t="shared" si="1"/>
        <v>260267.99265952504</v>
      </c>
      <c r="O21" s="10">
        <f t="shared" si="8"/>
        <v>268411.93393572536</v>
      </c>
      <c r="P21" s="10">
        <f t="shared" si="2"/>
        <v>3220943.2072287044</v>
      </c>
      <c r="Q21" s="10">
        <f t="shared" si="3"/>
        <v>483141.48108430562</v>
      </c>
      <c r="R21" s="10">
        <f t="shared" si="4"/>
        <v>2737801.7261443986</v>
      </c>
      <c r="S21" s="10">
        <f>SUM(R$3:R21)</f>
        <v>26759415.416159049</v>
      </c>
    </row>
    <row r="22" spans="1:19">
      <c r="A22" s="9" t="s">
        <v>71</v>
      </c>
      <c r="B22" s="9">
        <v>20</v>
      </c>
      <c r="C22" s="10">
        <f>入力情報!B16*入力情報!B17*(1-入力情報!B18)*(1-入力情報!B19)^19</f>
        <v>475873.12732929777</v>
      </c>
      <c r="D22" s="10">
        <f>入力情報!B20*入力情報!B21</f>
        <v>48000</v>
      </c>
      <c r="E22" s="10">
        <f t="shared" si="0"/>
        <v>523873.12732929777</v>
      </c>
      <c r="F22" s="10">
        <f>入力情報!B27</f>
        <v>33000</v>
      </c>
      <c r="G22" s="10">
        <f>入力情報!B28</f>
        <v>16000</v>
      </c>
      <c r="H22" s="10">
        <f t="shared" si="7"/>
        <v>47587.312732929779</v>
      </c>
      <c r="I22" s="10">
        <f>入力情報!B30</f>
        <v>48000</v>
      </c>
      <c r="J22" s="10">
        <f>入力情報!B31</f>
        <v>16000</v>
      </c>
      <c r="K22" s="10">
        <f>入力情報!B28</f>
        <v>16000</v>
      </c>
      <c r="L22" s="10">
        <f>IF(A12="1年目",入力情報!B29,IF(A12="2年目",入力情報!B29,入力情報!B29*1.3))</f>
        <v>83200</v>
      </c>
      <c r="M22" s="10" t="str">
        <f>IF(B22&lt;=入力情報!$B$10,入力情報!$B$12,"")</f>
        <v/>
      </c>
      <c r="N22" s="10">
        <f t="shared" si="1"/>
        <v>259787.31273292977</v>
      </c>
      <c r="O22" s="10">
        <f t="shared" si="8"/>
        <v>264085.814596368</v>
      </c>
      <c r="P22" s="10">
        <f t="shared" si="2"/>
        <v>3169029.775156416</v>
      </c>
      <c r="Q22" s="10">
        <f t="shared" si="3"/>
        <v>475354.4662734624</v>
      </c>
      <c r="R22" s="10">
        <f t="shared" si="4"/>
        <v>2693675.3088829536</v>
      </c>
      <c r="S22" s="10">
        <f>SUM(R$3:R22)</f>
        <v>29453090.725042</v>
      </c>
    </row>
  </sheetData>
  <mergeCells count="4">
    <mergeCell ref="C1:E1"/>
    <mergeCell ref="F1:N1"/>
    <mergeCell ref="O1:P1"/>
    <mergeCell ref="R1:S1"/>
  </mergeCells>
  <phoneticPr fontId="4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9C25-B6D2-45F5-9E1E-FC868CF55AC0}">
  <dimension ref="B2:G22"/>
  <sheetViews>
    <sheetView workbookViewId="0">
      <selection activeCell="C8" sqref="C8"/>
    </sheetView>
  </sheetViews>
  <sheetFormatPr defaultRowHeight="13.5"/>
  <sheetData>
    <row r="2" spans="2:7" ht="21">
      <c r="B2" s="23" t="s">
        <v>86</v>
      </c>
      <c r="C2" s="23"/>
      <c r="D2" s="23"/>
      <c r="E2" s="23"/>
      <c r="F2" s="23"/>
      <c r="G2" s="23"/>
    </row>
    <row r="3" spans="2:7" ht="21">
      <c r="B3" s="23"/>
      <c r="C3" s="23"/>
      <c r="D3" s="23"/>
      <c r="E3" s="23"/>
      <c r="F3" s="23"/>
      <c r="G3" s="23"/>
    </row>
    <row r="4" spans="2:7" ht="21">
      <c r="B4" s="23" t="s">
        <v>78</v>
      </c>
      <c r="C4" s="23"/>
      <c r="D4" s="23"/>
      <c r="E4" s="23"/>
      <c r="F4" s="23"/>
      <c r="G4" s="23"/>
    </row>
    <row r="5" spans="2:7" ht="21">
      <c r="B5" s="23"/>
      <c r="C5" s="23"/>
      <c r="D5" s="23"/>
      <c r="E5" s="23"/>
      <c r="F5" s="23"/>
      <c r="G5" s="23"/>
    </row>
    <row r="6" spans="2:7" ht="21">
      <c r="B6" s="23" t="s">
        <v>85</v>
      </c>
      <c r="C6" s="23"/>
      <c r="D6" s="23"/>
      <c r="E6" s="23"/>
      <c r="F6" s="23"/>
      <c r="G6" s="23"/>
    </row>
    <row r="7" spans="2:7" ht="21">
      <c r="B7" s="23"/>
      <c r="C7" s="23"/>
      <c r="D7" s="23"/>
      <c r="E7" s="23"/>
      <c r="F7" s="23"/>
      <c r="G7" s="23"/>
    </row>
    <row r="8" spans="2:7" ht="21">
      <c r="B8" s="23"/>
      <c r="C8" s="33" t="s">
        <v>87</v>
      </c>
      <c r="D8" s="23"/>
      <c r="E8" s="23"/>
      <c r="F8" s="23"/>
      <c r="G8" s="23"/>
    </row>
    <row r="9" spans="2:7" ht="21">
      <c r="B9" s="23"/>
      <c r="C9" s="32"/>
      <c r="D9" s="23"/>
      <c r="E9" s="23"/>
      <c r="F9" s="23"/>
      <c r="G9" s="23"/>
    </row>
    <row r="10" spans="2:7" ht="21">
      <c r="B10" s="23"/>
      <c r="C10" s="23"/>
      <c r="D10" s="23"/>
      <c r="E10" s="23"/>
      <c r="F10" s="23"/>
      <c r="G10" s="23"/>
    </row>
    <row r="11" spans="2:7" ht="21">
      <c r="B11" s="23"/>
      <c r="C11" s="23"/>
      <c r="D11" s="23"/>
      <c r="E11" s="23"/>
      <c r="F11" s="23"/>
      <c r="G11" s="23"/>
    </row>
    <row r="12" spans="2:7" ht="21">
      <c r="B12" s="23"/>
      <c r="C12" s="23"/>
      <c r="D12" s="23"/>
      <c r="E12" s="23"/>
      <c r="F12" s="23"/>
      <c r="G12" s="23"/>
    </row>
    <row r="13" spans="2:7" ht="21">
      <c r="B13" s="23"/>
      <c r="C13" s="23"/>
      <c r="D13" s="23"/>
      <c r="E13" s="23"/>
      <c r="F13" s="23"/>
      <c r="G13" s="23"/>
    </row>
    <row r="14" spans="2:7" ht="21">
      <c r="B14" s="23"/>
      <c r="C14" s="23"/>
      <c r="D14" s="23"/>
      <c r="E14" s="23"/>
      <c r="F14" s="23"/>
      <c r="G14" s="23"/>
    </row>
    <row r="15" spans="2:7" ht="21">
      <c r="B15" s="23"/>
      <c r="C15" s="23"/>
      <c r="D15" s="23"/>
      <c r="E15" s="23"/>
      <c r="F15" s="23"/>
      <c r="G15" s="23"/>
    </row>
    <row r="16" spans="2:7" ht="21">
      <c r="B16" s="23"/>
      <c r="C16" s="23"/>
      <c r="D16" s="23"/>
      <c r="E16" s="23"/>
      <c r="F16" s="23"/>
      <c r="G16" s="23"/>
    </row>
    <row r="17" spans="2:7" ht="21">
      <c r="B17" s="23"/>
      <c r="C17" s="23"/>
      <c r="D17" s="23"/>
      <c r="E17" s="23"/>
      <c r="F17" s="23"/>
      <c r="G17" s="23"/>
    </row>
    <row r="18" spans="2:7" ht="21">
      <c r="B18" s="23"/>
      <c r="C18" s="23"/>
      <c r="D18" s="23"/>
      <c r="E18" s="23"/>
      <c r="F18" s="23"/>
      <c r="G18" s="23"/>
    </row>
    <row r="19" spans="2:7" ht="21">
      <c r="B19" s="23"/>
      <c r="C19" s="23"/>
      <c r="D19" s="23"/>
      <c r="E19" s="23"/>
      <c r="F19" s="23"/>
      <c r="G19" s="23"/>
    </row>
    <row r="20" spans="2:7" ht="21">
      <c r="B20" s="23"/>
      <c r="C20" s="23"/>
      <c r="D20" s="23"/>
      <c r="E20" s="23"/>
      <c r="F20" s="23"/>
      <c r="G20" s="23"/>
    </row>
    <row r="21" spans="2:7" ht="21">
      <c r="B21" s="23"/>
      <c r="C21" s="23"/>
      <c r="D21" s="23"/>
      <c r="E21" s="23"/>
      <c r="F21" s="23"/>
      <c r="G21" s="23"/>
    </row>
    <row r="22" spans="2:7" ht="21">
      <c r="B22" s="23"/>
      <c r="C22" s="23"/>
      <c r="D22" s="23"/>
      <c r="F22" s="24"/>
      <c r="G22" s="23"/>
    </row>
  </sheetData>
  <phoneticPr fontId="4"/>
  <hyperlinks>
    <hyperlink ref="C8" r:id="rId1" display="https://2do-3.com/ref/lineat14.html" xr:uid="{7063AEA7-77BF-4BC5-99DB-26DDB455C2D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入力情報</vt:lpstr>
      <vt:lpstr>収支計画書</vt:lpstr>
      <vt:lpstr>★重要なお知らせ★</vt:lpstr>
      <vt:lpstr>入力情報!Print_Area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祐人</cp:lastModifiedBy>
  <cp:lastPrinted>2025-07-11T07:22:43Z</cp:lastPrinted>
  <dcterms:created xsi:type="dcterms:W3CDTF">2025-07-11T05:07:44Z</dcterms:created>
  <dcterms:modified xsi:type="dcterms:W3CDTF">2025-12-05T06:27:57Z</dcterms:modified>
</cp:coreProperties>
</file>